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<sst xmlns="http://schemas.openxmlformats.org/spreadsheetml/2006/main" count="2238" uniqueCount="299">
  <si>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</si>
  <si>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</si>
  <si>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</si>
  <si>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</si>
  <si>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</si>
  <si>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</si>
  <si>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</si>
  <si>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</si>
  <si>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</si>
  <si>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</si>
  <si>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</si>
  <si>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</si>
  <si>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</si>
  <si>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</si>
  <si>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</si>
  <si>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</si>
  <si>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</si>
  <si>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</si>
  <si>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</si>
  <si>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</si>
  <si>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</si>
  <si>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</si>
  <si>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</si>
  <si>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</si>
  <si>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</si>
  <si>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</si>
  <si>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</si>
  <si>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</si>
  <si>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</si>
  <si>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</si>
  <si>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</si>
  <si>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</si>
  <si>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</si>
  <si>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</si>
  <si>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</si>
  <si>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</si>
  <si>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</si>
  <si>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</si>
  <si>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</si>
  <si>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</si>
  <si>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</si>
  <si>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</si>
  <si>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</si>
  <si>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</si>
  <si>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</si>
  <si>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</si>
  <si>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</si>
  <si>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</si>
  <si>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</si>
  <si>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</si>
  <si>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</si>
  <si>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</si>
  <si>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</si>
  <si>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</si>
  <si>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</si>
  <si>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</si>
  <si>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</si>
  <si>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</si>
  <si>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</si>
  <si>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</si>
  <si>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</si>
  <si>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</si>
  <si>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</si>
  <si>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</si>
  <si>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</si>
  <si>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</si>
  <si>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</si>
  <si>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</si>
  <si>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</si>
  <si>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</si>
  <si>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</si>
  <si>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</si>
  <si>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</si>
  <si>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</si>
  <si>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</si>
  <si>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</si>
  <si>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</si>
  <si>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</si>
  <si>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</si>
  <si>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</si>
  <si>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</si>
  <si>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</si>
  <si>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</si>
  <si>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</si>
  <si>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</si>
  <si>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</si>
  <si>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</si>
  <si>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</si>
  <si>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</si>
  <si>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</si>
  <si>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</si>
  <si>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</si>
  <si>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</si>
  <si>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</si>
  <si>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</si>
  <si>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</si>
  <si>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</si>
  <si>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</si>
  <si>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</si>
  <si>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</si>
  <si>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</si>
  <si>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</si>
  <si>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</si>
  <si>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</si>
  <si>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</si>
  <si>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</si>
  <si>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</si>
  <si>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</si>
  <si>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</si>
  <si>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</si>
  <si>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</si>
  <si>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</si>
  <si>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</si>
  <si>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</si>
  <si>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</si>
  <si>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</si>
  <si>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</si>
  <si>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</si>
  <si>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</si>
  <si>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</si>
  <si>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</si>
  <si>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</si>
  <si>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</si>
  <si>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</si>
  <si>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</si>
  <si>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</si>
  <si>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</si>
  <si>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</si>
  <si>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</si>
  <si>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</si>
  <si>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</si>
  <si>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</si>
  <si>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</si>
  <si>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</si>
  <si>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</si>
  <si>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</si>
  <si>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</si>
  <si>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</si>
  <si>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</si>
  <si>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</si>
  <si>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</si>
  <si>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</si>
  <si>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</si>
  <si>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</si>
  <si>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</si>
  <si>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</si>
  <si>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</si>
  <si>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</si>
  <si>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</si>
  <si>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</si>
  <si>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</si>
  <si>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</si>
  <si>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</si>
  <si>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</si>
  <si>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</si>
  <si>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</si>
  <si>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</si>
  <si>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</si>
  <si>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</si>
  <si>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</si>
  <si>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</si>
  <si>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</si>
  <si>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</si>
  <si>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</si>
  <si>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</si>
  <si>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</si>
  <si>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</si>
  <si>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</si>
  <si>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</si>
  <si>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</si>
  <si>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</si>
  <si>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</si>
  <si>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</si>
  <si>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</si>
  <si>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</si>
  <si>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</si>
  <si>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</si>
  <si>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</si>
  <si>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</si>
  <si>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</si>
  <si>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</si>
  <si>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</si>
  <si>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</si>
  <si>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</si>
  <si>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</si>
  <si>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</si>
  <si>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</si>
  <si>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</si>
  <si>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</si>
  <si>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</si>
  <si>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</si>
  <si>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</si>
  <si>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</si>
  <si>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</si>
  <si>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</si>
  <si>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</si>
  <si>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</si>
  <si>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</si>
  <si>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</si>
  <si>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</si>
  <si>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</si>
  <si>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</si>
  <si>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</si>
  <si>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</si>
  <si>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</si>
  <si>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</si>
  <si>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</si>
  <si>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</si>
  <si>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</si>
  <si>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</si>
  <si>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</si>
  <si>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</si>
  <si>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</si>
  <si>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</si>
  <si>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</si>
  <si>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</si>
  <si>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</si>
  <si>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</si>
  <si>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</si>
  <si>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</si>
  <si>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</si>
  <si>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</si>
  <si>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</si>
  <si>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</si>
  <si>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</si>
  <si>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</si>
  <si>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</si>
  <si>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</si>
  <si>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</si>
  <si>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</si>
  <si>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</si>
  <si>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</si>
  <si>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</si>
  <si>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</si>
  <si>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</si>
  <si>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</si>
  <si>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</si>
  <si>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</si>
  <si>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</si>
  <si>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</si>
  <si>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</si>
  <si>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</si>
  <si>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</si>
  <si>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</si>
  <si>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</si>
  <si>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</si>
  <si>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</si>
  <si>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</si>
  <si>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</si>
  <si>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</si>
  <si>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</si>
  <si>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</si>
  <si>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</si>
  <si>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</si>
  <si>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</si>
  <si>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</si>
  <si>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</si>
  <si>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</si>
  <si>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</si>
  <si>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</si>
  <si>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</si>
  <si>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</si>
  <si>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</si>
  <si>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</si>
  <si>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</si>
  <si>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</si>
  <si>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</si>
  <si>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</si>
  <si>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</si>
  <si>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</si>
  <si>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</si>
  <si>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</si>
  <si>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</si>
  <si>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</si>
  <si>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</si>
  <si>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</si>
  <si>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</si>
  <si>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</si>
  <si>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</si>
  <si>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</si>
  <si>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</si>
  <si>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</si>
  <si>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</si>
  <si>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</si>
  <si>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</si>
  <si>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</si>
  <si>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</si>
  <si>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</si>
  <si>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</si>
  <si>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</si>
  <si>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</si>
  <si>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</si>
  <si>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</si>
  <si>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</si>
  <si>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</si>
  <si>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</si>
  <si>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</si>
  <si>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</si>
  <si>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21.11.14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</si>
</sst>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10509526.030000001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48" sqref="H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294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291</v>
      </c>
      <c r="H4" s="200" t="s">
        <v>280</v>
      </c>
      <c r="I4" s="202" t="s">
        <v>188</v>
      </c>
      <c r="J4" s="204" t="s">
        <v>189</v>
      </c>
      <c r="K4" s="206" t="s">
        <v>292</v>
      </c>
      <c r="L4" s="207"/>
      <c r="M4" s="194"/>
      <c r="N4" s="181" t="s">
        <v>298</v>
      </c>
      <c r="O4" s="202" t="s">
        <v>136</v>
      </c>
      <c r="P4" s="202" t="s">
        <v>135</v>
      </c>
      <c r="Q4" s="206" t="s">
        <v>296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290</v>
      </c>
      <c r="F5" s="197"/>
      <c r="G5" s="199"/>
      <c r="H5" s="201"/>
      <c r="I5" s="203"/>
      <c r="J5" s="205"/>
      <c r="K5" s="208"/>
      <c r="L5" s="209"/>
      <c r="M5" s="151" t="s">
        <v>293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415935.35</v>
      </c>
      <c r="G8" s="22">
        <f aca="true" t="shared" si="0" ref="G8:G30">F8-E8</f>
        <v>-15322.679999999993</v>
      </c>
      <c r="H8" s="51">
        <f>F8/E8*100</f>
        <v>96.44698094085345</v>
      </c>
      <c r="I8" s="36">
        <f aca="true" t="shared" si="1" ref="I8:I17">F8-D8</f>
        <v>-72540.95000000001</v>
      </c>
      <c r="J8" s="36">
        <f aca="true" t="shared" si="2" ref="J8:J14">F8/D8*100</f>
        <v>85.14954563814048</v>
      </c>
      <c r="K8" s="36">
        <f>F8-421084.1</f>
        <v>-5148.75</v>
      </c>
      <c r="L8" s="136">
        <f>F8/421084.1</f>
        <v>0.9877726325928716</v>
      </c>
      <c r="M8" s="22">
        <f>M10+M19+M33+M56+M68+M30</f>
        <v>40254.39000000002</v>
      </c>
      <c r="N8" s="22">
        <f>N10+N19+N33+N56+N68+N30</f>
        <v>27176.100000000002</v>
      </c>
      <c r="O8" s="36">
        <f aca="true" t="shared" si="3" ref="O8:O71">N8-M8</f>
        <v>-13078.290000000019</v>
      </c>
      <c r="P8" s="36">
        <f>F8/M8*100</f>
        <v>1033.2670548479302</v>
      </c>
      <c r="Q8" s="36">
        <f>N8-39535.7</f>
        <v>-12359.599999999995</v>
      </c>
      <c r="R8" s="134">
        <f>N8/39535.7</f>
        <v>0.6873812781865505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341002.31</v>
      </c>
      <c r="G9" s="22">
        <f t="shared" si="0"/>
        <v>341002.31</v>
      </c>
      <c r="H9" s="20"/>
      <c r="I9" s="56">
        <f t="shared" si="1"/>
        <v>-46010.890000000014</v>
      </c>
      <c r="J9" s="56">
        <f t="shared" si="2"/>
        <v>88.11128664345298</v>
      </c>
      <c r="K9" s="56"/>
      <c r="L9" s="135"/>
      <c r="M9" s="20">
        <f>M10+M17</f>
        <v>32301.900000000023</v>
      </c>
      <c r="N9" s="20">
        <f>N10+N17</f>
        <v>24980.119999999995</v>
      </c>
      <c r="O9" s="36">
        <f t="shared" si="3"/>
        <v>-7321.780000000028</v>
      </c>
      <c r="P9" s="56">
        <f>F9/M9*100</f>
        <v>1055.672607493676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341002.31</v>
      </c>
      <c r="G10" s="49">
        <f t="shared" si="0"/>
        <v>-11005.690000000002</v>
      </c>
      <c r="H10" s="40">
        <f aca="true" t="shared" si="4" ref="H10:H17">F10/E10*100</f>
        <v>96.87345458057771</v>
      </c>
      <c r="I10" s="56">
        <f t="shared" si="1"/>
        <v>-46010.890000000014</v>
      </c>
      <c r="J10" s="56">
        <f t="shared" si="2"/>
        <v>88.11128664345298</v>
      </c>
      <c r="K10" s="141">
        <f>F10-334336.4</f>
        <v>6665.909999999974</v>
      </c>
      <c r="L10" s="142">
        <f>F10/334336.4</f>
        <v>1.0199377333727346</v>
      </c>
      <c r="M10" s="40">
        <f>E10-жовтень!E10</f>
        <v>32301.900000000023</v>
      </c>
      <c r="N10" s="40">
        <f>F10-жовтень!F10</f>
        <v>24980.119999999995</v>
      </c>
      <c r="O10" s="53">
        <f t="shared" si="3"/>
        <v>-7321.780000000028</v>
      </c>
      <c r="P10" s="56">
        <f aca="true" t="shared" si="5" ref="P10:P17">N10/M10*100</f>
        <v>77.33328380064324</v>
      </c>
      <c r="Q10" s="141">
        <f>N10-32243.9</f>
        <v>-7263.780000000006</v>
      </c>
      <c r="R10" s="142">
        <f>N10/32243.9</f>
        <v>0.7747239012650453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-875.21</v>
      </c>
      <c r="G19" s="49">
        <f t="shared" si="0"/>
        <v>-1954.81</v>
      </c>
      <c r="H19" s="40">
        <f aca="true" t="shared" si="6" ref="H19:H29">F19/E19*100</f>
        <v>-81.06798814375695</v>
      </c>
      <c r="I19" s="56">
        <f aca="true" t="shared" si="7" ref="I19:I29">F19-D19</f>
        <v>-1875.21</v>
      </c>
      <c r="J19" s="56">
        <f aca="true" t="shared" si="8" ref="J19:J29">F19/D19*100</f>
        <v>-87.521</v>
      </c>
      <c r="K19" s="167">
        <f>F19-7207</f>
        <v>-8082.21</v>
      </c>
      <c r="L19" s="168">
        <f>F19/7207</f>
        <v>-0.12143887886776746</v>
      </c>
      <c r="M19" s="40">
        <f>E19-жовтень!E19</f>
        <v>12</v>
      </c>
      <c r="N19" s="40">
        <f>F19-жовтень!F19</f>
        <v>5.67999999999995</v>
      </c>
      <c r="O19" s="53">
        <f t="shared" si="3"/>
        <v>-6.32000000000005</v>
      </c>
      <c r="P19" s="56">
        <f aca="true" t="shared" si="9" ref="P19:P29">N19/M19*100</f>
        <v>47.33333333333292</v>
      </c>
      <c r="Q19" s="56">
        <f>N19-363.4</f>
        <v>-357.72</v>
      </c>
      <c r="R19" s="135">
        <f>N19/363.4</f>
        <v>0.015630159603742297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69944.44</v>
      </c>
      <c r="G33" s="49">
        <f aca="true" t="shared" si="14" ref="G33:G72">F33-E33</f>
        <v>-1968.9899999999907</v>
      </c>
      <c r="H33" s="40">
        <f aca="true" t="shared" si="15" ref="H33:H67">F33/E33*100</f>
        <v>97.26199960146528</v>
      </c>
      <c r="I33" s="56">
        <f>F33-D33</f>
        <v>-23621.559999999998</v>
      </c>
      <c r="J33" s="56">
        <f aca="true" t="shared" si="16" ref="J33:J72">F33/D33*100</f>
        <v>74.75412008635615</v>
      </c>
      <c r="K33" s="141">
        <f>F33-73845.7</f>
        <v>-3901.2599999999948</v>
      </c>
      <c r="L33" s="142">
        <f>F33/73845.7</f>
        <v>0.9471701128163185</v>
      </c>
      <c r="M33" s="40">
        <f>E33-жовтень!E33</f>
        <v>7377.5899999999965</v>
      </c>
      <c r="N33" s="40">
        <f>F33-жовтень!F33</f>
        <v>1677.6000000000058</v>
      </c>
      <c r="O33" s="53">
        <f t="shared" si="3"/>
        <v>-5699.989999999991</v>
      </c>
      <c r="P33" s="56">
        <f aca="true" t="shared" si="17" ref="P33:P67">N33/M33*100</f>
        <v>22.739132968896435</v>
      </c>
      <c r="Q33" s="141">
        <f>N33-6429.9</f>
        <v>-4752.299999999994</v>
      </c>
      <c r="R33" s="142">
        <f>N33/6429.9</f>
        <v>0.2609060794102561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52189.67</v>
      </c>
      <c r="G55" s="144">
        <f t="shared" si="14"/>
        <v>-658.8600000000006</v>
      </c>
      <c r="H55" s="146">
        <f t="shared" si="15"/>
        <v>98.7533049642062</v>
      </c>
      <c r="I55" s="145">
        <f t="shared" si="18"/>
        <v>-18076.33</v>
      </c>
      <c r="J55" s="145">
        <f t="shared" si="16"/>
        <v>74.27442859989183</v>
      </c>
      <c r="K55" s="148">
        <f>F55-53912.95</f>
        <v>-1723.2799999999988</v>
      </c>
      <c r="L55" s="149">
        <f>F55/53912.95</f>
        <v>0.9680358800622114</v>
      </c>
      <c r="M55" s="40">
        <f>E55-жовтень!E55</f>
        <v>5442.989999999998</v>
      </c>
      <c r="N55" s="40">
        <f>F55-жовтень!F55</f>
        <v>1485.0199999999968</v>
      </c>
      <c r="O55" s="148">
        <f t="shared" si="3"/>
        <v>-3957.970000000001</v>
      </c>
      <c r="P55" s="148">
        <f t="shared" si="17"/>
        <v>27.283166053951913</v>
      </c>
      <c r="Q55" s="160">
        <f>N55-4756.32</f>
        <v>-3271.300000000003</v>
      </c>
      <c r="R55" s="161">
        <f>N55/4756.32</f>
        <v>0.3122203720523423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1.51+5829.1</f>
        <v>5830.610000000001</v>
      </c>
      <c r="G56" s="49">
        <f t="shared" si="14"/>
        <v>-389.28999999999905</v>
      </c>
      <c r="H56" s="40">
        <f t="shared" si="15"/>
        <v>93.74121770446472</v>
      </c>
      <c r="I56" s="56">
        <f t="shared" si="18"/>
        <v>-1029.3899999999994</v>
      </c>
      <c r="J56" s="56">
        <f t="shared" si="16"/>
        <v>84.99431486880468</v>
      </c>
      <c r="K56" s="56">
        <f>F56-6560</f>
        <v>-729.3899999999994</v>
      </c>
      <c r="L56" s="135">
        <f>F56/6560</f>
        <v>0.8888125000000001</v>
      </c>
      <c r="M56" s="40">
        <f>E56-жовтень!E56</f>
        <v>553.3999999999996</v>
      </c>
      <c r="N56" s="40">
        <f>F56-жовтень!F56</f>
        <v>484.65000000000055</v>
      </c>
      <c r="O56" s="53">
        <f t="shared" si="3"/>
        <v>-68.74999999999909</v>
      </c>
      <c r="P56" s="56">
        <f t="shared" si="17"/>
        <v>87.57679797614762</v>
      </c>
      <c r="Q56" s="56">
        <f>N56-486.5</f>
        <v>-1.8499999999994543</v>
      </c>
      <c r="R56" s="135">
        <f>N56/486.5</f>
        <v>0.9961973278520052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11898.61</v>
      </c>
      <c r="G74" s="50">
        <f aca="true" t="shared" si="24" ref="G74:G92">F74-E74</f>
        <v>-3378.3899999999994</v>
      </c>
      <c r="H74" s="51">
        <f aca="true" t="shared" si="25" ref="H74:H87">F74/E74*100</f>
        <v>77.88577600314198</v>
      </c>
      <c r="I74" s="36">
        <f aca="true" t="shared" si="26" ref="I74:I92">F74-D74</f>
        <v>-6459.689999999999</v>
      </c>
      <c r="J74" s="36">
        <f aca="true" t="shared" si="27" ref="J74:J92">F74/D74*100</f>
        <v>64.81324523512527</v>
      </c>
      <c r="K74" s="36">
        <f>F74-17827.8</f>
        <v>-5929.189999999999</v>
      </c>
      <c r="L74" s="136">
        <f>F74/17827.8</f>
        <v>0.6674188626751478</v>
      </c>
      <c r="M74" s="22">
        <f>M77+M86+M88+M89+M94+M95+M96+M97+M99+M87+M104</f>
        <v>1580.5</v>
      </c>
      <c r="N74" s="22">
        <f>N77+N86+N88+N89+N94+N95+N96+N97+N99+N32+N104+N87+N103</f>
        <v>1109.7000000000003</v>
      </c>
      <c r="O74" s="55">
        <f aca="true" t="shared" si="28" ref="O74:O92">N74-M74</f>
        <v>-470.7999999999997</v>
      </c>
      <c r="P74" s="36">
        <f>N74/M74*100</f>
        <v>70.21195824106297</v>
      </c>
      <c r="Q74" s="36">
        <f>N74-1502.5</f>
        <v>-392.7999999999997</v>
      </c>
      <c r="R74" s="136">
        <f>N74/1502.5</f>
        <v>0.738569051580699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120.14</v>
      </c>
      <c r="G89" s="49">
        <f t="shared" si="24"/>
        <v>-38.86</v>
      </c>
      <c r="H89" s="40">
        <f>F89/E89*100</f>
        <v>75.55974842767296</v>
      </c>
      <c r="I89" s="56">
        <f t="shared" si="26"/>
        <v>-54.86</v>
      </c>
      <c r="J89" s="56">
        <f t="shared" si="27"/>
        <v>68.65142857142857</v>
      </c>
      <c r="K89" s="56">
        <f>F89-147.9</f>
        <v>-27.760000000000005</v>
      </c>
      <c r="L89" s="135">
        <f>F89/147.9</f>
        <v>0.8123056118999323</v>
      </c>
      <c r="M89" s="40">
        <f>E89-жовтень!E89</f>
        <v>15</v>
      </c>
      <c r="N89" s="40">
        <f>F89-жовтень!F89</f>
        <v>7.689999999999998</v>
      </c>
      <c r="O89" s="53">
        <f t="shared" si="28"/>
        <v>-7.310000000000002</v>
      </c>
      <c r="P89" s="56">
        <f>N89/M89*100</f>
        <v>51.26666666666665</v>
      </c>
      <c r="Q89" s="56">
        <f>N89-10.4</f>
        <v>-2.7100000000000026</v>
      </c>
      <c r="R89" s="135">
        <f>N89/10.4</f>
        <v>0.7394230769230766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954.55</v>
      </c>
      <c r="G96" s="49">
        <f t="shared" si="31"/>
        <v>-59.950000000000045</v>
      </c>
      <c r="H96" s="40">
        <f>F96/E96*100</f>
        <v>94.09068506653523</v>
      </c>
      <c r="I96" s="56">
        <f t="shared" si="32"/>
        <v>-245.45000000000005</v>
      </c>
      <c r="J96" s="56">
        <f>F96/D96*100</f>
        <v>79.54583333333332</v>
      </c>
      <c r="K96" s="56">
        <f>F96-1013.8</f>
        <v>-59.25</v>
      </c>
      <c r="L96" s="135">
        <f>F96/1013.8</f>
        <v>0.9415565200236733</v>
      </c>
      <c r="M96" s="40">
        <f>E96-жовтень!E96</f>
        <v>110</v>
      </c>
      <c r="N96" s="40">
        <f>F96-жовтень!F96</f>
        <v>89.38</v>
      </c>
      <c r="O96" s="53">
        <f t="shared" si="33"/>
        <v>-20.620000000000005</v>
      </c>
      <c r="P96" s="56">
        <f>N96/M96*100</f>
        <v>81.25454545454545</v>
      </c>
      <c r="Q96" s="56">
        <f>N96-83.7</f>
        <v>5.679999999999993</v>
      </c>
      <c r="R96" s="135">
        <f>N96/83.7</f>
        <v>1.0678614097968935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3790.14</v>
      </c>
      <c r="G99" s="49">
        <f t="shared" si="31"/>
        <v>123.13999999999987</v>
      </c>
      <c r="H99" s="40">
        <f>F99/E99*100</f>
        <v>103.35805835833105</v>
      </c>
      <c r="I99" s="56">
        <f t="shared" si="32"/>
        <v>-782.56</v>
      </c>
      <c r="J99" s="56">
        <f>F99/D99*100</f>
        <v>82.88625975900453</v>
      </c>
      <c r="K99" s="56">
        <f>F99-4178.8</f>
        <v>-388.6600000000003</v>
      </c>
      <c r="L99" s="135">
        <f>F99/4178.8</f>
        <v>0.9069924380204842</v>
      </c>
      <c r="M99" s="40">
        <f>E99-жовтень!E99</f>
        <v>330</v>
      </c>
      <c r="N99" s="40">
        <f>F99-жовтень!F99</f>
        <v>343.1999999999998</v>
      </c>
      <c r="O99" s="53">
        <f t="shared" si="33"/>
        <v>13.199999999999818</v>
      </c>
      <c r="P99" s="56">
        <f>N99/M99*100</f>
        <v>103.99999999999994</v>
      </c>
      <c r="Q99" s="56">
        <f>N99-332.8</f>
        <v>10.399999999999807</v>
      </c>
      <c r="R99" s="135">
        <f>N99/332.8</f>
        <v>1.0312499999999993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919.4</v>
      </c>
      <c r="G102" s="144"/>
      <c r="H102" s="146"/>
      <c r="I102" s="145"/>
      <c r="J102" s="145"/>
      <c r="K102" s="148">
        <f>F102-738.2</f>
        <v>181.19999999999993</v>
      </c>
      <c r="L102" s="149">
        <f>F102/738.2</f>
        <v>1.2454619344351123</v>
      </c>
      <c r="M102" s="40">
        <f>E102-жовтень!E102</f>
        <v>0</v>
      </c>
      <c r="N102" s="40">
        <f>F102-жовтень!F102</f>
        <v>80.89999999999998</v>
      </c>
      <c r="O102" s="53"/>
      <c r="P102" s="60"/>
      <c r="Q102" s="60">
        <f>N102-89.7</f>
        <v>-8.800000000000026</v>
      </c>
      <c r="R102" s="138">
        <f>N102/89.7</f>
        <v>0.9018952062430321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-43.06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22.44</v>
      </c>
      <c r="G105" s="49">
        <f>F105-E105</f>
        <v>-7.759999999999998</v>
      </c>
      <c r="H105" s="40">
        <f>F105/E105*100</f>
        <v>74.30463576158941</v>
      </c>
      <c r="I105" s="56">
        <f t="shared" si="34"/>
        <v>-22.56</v>
      </c>
      <c r="J105" s="56">
        <f aca="true" t="shared" si="36" ref="J105:J110">F105/D105*100</f>
        <v>49.86666666666667</v>
      </c>
      <c r="K105" s="56">
        <f>F105-35.8</f>
        <v>-13.359999999999996</v>
      </c>
      <c r="L105" s="135">
        <f>F105/35.8</f>
        <v>0.6268156424581006</v>
      </c>
      <c r="M105" s="40">
        <f>E105-жовтень!E105</f>
        <v>3</v>
      </c>
      <c r="N105" s="40">
        <f>F105-жовтень!F105</f>
        <v>0.7300000000000004</v>
      </c>
      <c r="O105" s="53">
        <f t="shared" si="35"/>
        <v>-2.2699999999999996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427856.76999999996</v>
      </c>
      <c r="G107" s="175">
        <f>F107-E107</f>
        <v>-18708.46000000002</v>
      </c>
      <c r="H107" s="51">
        <f>F107/E107*100</f>
        <v>95.81058740287504</v>
      </c>
      <c r="I107" s="36">
        <f t="shared" si="34"/>
        <v>-79022.83000000002</v>
      </c>
      <c r="J107" s="36">
        <f t="shared" si="36"/>
        <v>84.40994074332444</v>
      </c>
      <c r="K107" s="36">
        <f>F107-438950.2</f>
        <v>-11093.430000000051</v>
      </c>
      <c r="L107" s="136">
        <f>F107/438950.2</f>
        <v>0.974727360871461</v>
      </c>
      <c r="M107" s="22">
        <f>M8+M74+M105+M106</f>
        <v>41837.89000000002</v>
      </c>
      <c r="N107" s="22">
        <f>N8+N74+N105+N106</f>
        <v>28286.530000000002</v>
      </c>
      <c r="O107" s="55">
        <f t="shared" si="35"/>
        <v>-13551.360000000019</v>
      </c>
      <c r="P107" s="36">
        <f>N107/M107*100</f>
        <v>67.60983883269445</v>
      </c>
      <c r="Q107" s="36">
        <f>N107-41056.6</f>
        <v>-12770.069999999996</v>
      </c>
      <c r="R107" s="136">
        <f>N107/41056.6</f>
        <v>0.6889642590959798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341956.86</v>
      </c>
      <c r="G108" s="153">
        <f>G10-G18+G96</f>
        <v>-11065.640000000003</v>
      </c>
      <c r="H108" s="72">
        <f>F108/E108*100</f>
        <v>96.86545758414832</v>
      </c>
      <c r="I108" s="52">
        <f t="shared" si="34"/>
        <v>-46256.340000000026</v>
      </c>
      <c r="J108" s="52">
        <f t="shared" si="36"/>
        <v>88.08481009919291</v>
      </c>
      <c r="K108" s="52">
        <f>F108-335439.2</f>
        <v>6517.659999999974</v>
      </c>
      <c r="L108" s="137">
        <f>F108/335439.2</f>
        <v>1.0194302275941511</v>
      </c>
      <c r="M108" s="71">
        <f>M10-M18+M96</f>
        <v>32411.900000000023</v>
      </c>
      <c r="N108" s="71">
        <f>N10-N18+N96</f>
        <v>25069.499999999996</v>
      </c>
      <c r="O108" s="53">
        <f t="shared" si="35"/>
        <v>-7342.400000000027</v>
      </c>
      <c r="P108" s="52">
        <f>N108/M108*100</f>
        <v>77.34659183818282</v>
      </c>
      <c r="Q108" s="52">
        <f>N108-32327.7</f>
        <v>-7258.200000000004</v>
      </c>
      <c r="R108" s="137">
        <f>N108/32327.7</f>
        <v>0.7754804703087443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85899.90999999997</v>
      </c>
      <c r="G109" s="176">
        <f>F109-E109</f>
        <v>-7642.820000000007</v>
      </c>
      <c r="H109" s="72">
        <f>F109/E109*100</f>
        <v>91.82959488139805</v>
      </c>
      <c r="I109" s="52">
        <f t="shared" si="34"/>
        <v>-32766.48999999999</v>
      </c>
      <c r="J109" s="52">
        <f t="shared" si="36"/>
        <v>72.38772727579163</v>
      </c>
      <c r="K109" s="52">
        <f>F109-103511.1</f>
        <v>-17611.19000000003</v>
      </c>
      <c r="L109" s="137">
        <f>F109/103511.1</f>
        <v>0.8298618215824194</v>
      </c>
      <c r="M109" s="71">
        <f>M107-M108</f>
        <v>9425.989999999998</v>
      </c>
      <c r="N109" s="71">
        <f>N107-N108</f>
        <v>3217.030000000006</v>
      </c>
      <c r="O109" s="53">
        <f t="shared" si="35"/>
        <v>-6208.959999999992</v>
      </c>
      <c r="P109" s="52">
        <f>N109/M109*100</f>
        <v>34.1293593564178</v>
      </c>
      <c r="Q109" s="52">
        <f>N109-8729</f>
        <v>-5511.969999999994</v>
      </c>
      <c r="R109" s="137">
        <f>N109/8729</f>
        <v>0.3685450796196593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341956.86</v>
      </c>
      <c r="G110" s="111">
        <f>F110-E110</f>
        <v>-6725.739999999991</v>
      </c>
      <c r="H110" s="72">
        <f>F110/E110*100</f>
        <v>98.07109961896579</v>
      </c>
      <c r="I110" s="81">
        <f t="shared" si="34"/>
        <v>-46256.340000000026</v>
      </c>
      <c r="J110" s="52">
        <f t="shared" si="36"/>
        <v>88.08481009919291</v>
      </c>
      <c r="K110" s="52"/>
      <c r="L110" s="137"/>
      <c r="M110" s="72">
        <f>E110-жовтень!E110</f>
        <v>33441.899999999965</v>
      </c>
      <c r="N110" s="71">
        <f>N108</f>
        <v>25069.499999999996</v>
      </c>
      <c r="O110" s="63">
        <f t="shared" si="35"/>
        <v>-8372.399999999969</v>
      </c>
      <c r="P110" s="52">
        <f>N110/M110*100</f>
        <v>74.96434114090414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1448.97</v>
      </c>
      <c r="G115" s="49">
        <f t="shared" si="37"/>
        <v>-1885.43</v>
      </c>
      <c r="H115" s="40">
        <f aca="true" t="shared" si="39" ref="H115:H126">F115/E115*100</f>
        <v>43.455194337811896</v>
      </c>
      <c r="I115" s="60">
        <f t="shared" si="38"/>
        <v>-2222.5299999999997</v>
      </c>
      <c r="J115" s="60">
        <f aca="true" t="shared" si="40" ref="J115:J121">F115/D115*100</f>
        <v>39.46534114122293</v>
      </c>
      <c r="K115" s="60">
        <f>F115-3211.4</f>
        <v>-1762.43</v>
      </c>
      <c r="L115" s="138">
        <f>F115/3211.4</f>
        <v>0.45119574017562436</v>
      </c>
      <c r="M115" s="40">
        <f>E115-жовтень!E115</f>
        <v>327.4000000000001</v>
      </c>
      <c r="N115" s="40">
        <f>F115-жовтень!F115</f>
        <v>130.42000000000007</v>
      </c>
      <c r="O115" s="53">
        <f aca="true" t="shared" si="41" ref="O115:O126">N115-M115</f>
        <v>-196.98000000000002</v>
      </c>
      <c r="P115" s="60">
        <f>N115/M115*100</f>
        <v>39.835064141722675</v>
      </c>
      <c r="Q115" s="60">
        <f>N115-83.3</f>
        <v>47.120000000000076</v>
      </c>
      <c r="R115" s="138">
        <f>N115/83.3</f>
        <v>1.5656662665066037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1734.33</v>
      </c>
      <c r="G117" s="62">
        <f t="shared" si="37"/>
        <v>-1844.5700000000002</v>
      </c>
      <c r="H117" s="72">
        <f t="shared" si="39"/>
        <v>48.459861968761345</v>
      </c>
      <c r="I117" s="61">
        <f t="shared" si="38"/>
        <v>-2205.27</v>
      </c>
      <c r="J117" s="61">
        <f t="shared" si="40"/>
        <v>44.02299725860493</v>
      </c>
      <c r="K117" s="61">
        <f>F117-3477.6</f>
        <v>-1743.27</v>
      </c>
      <c r="L117" s="139">
        <f>F117/3477.6</f>
        <v>0.4987146307798482</v>
      </c>
      <c r="M117" s="62">
        <f>M115+M116+M114</f>
        <v>349.4000000000001</v>
      </c>
      <c r="N117" s="38">
        <f>SUM(N114:N116)</f>
        <v>152.57000000000008</v>
      </c>
      <c r="O117" s="61">
        <f t="shared" si="41"/>
        <v>-196.83</v>
      </c>
      <c r="P117" s="61">
        <f>N117/M117*100</f>
        <v>43.66628506010304</v>
      </c>
      <c r="Q117" s="61">
        <f>N117-106.6</f>
        <v>45.970000000000084</v>
      </c>
      <c r="R117" s="139">
        <f>N117/106.6</f>
        <v>1.4312382739212015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450.05</v>
      </c>
      <c r="G119" s="49">
        <f t="shared" si="37"/>
        <v>189.55</v>
      </c>
      <c r="H119" s="40">
        <f t="shared" si="39"/>
        <v>172.76391554702494</v>
      </c>
      <c r="I119" s="60">
        <f t="shared" si="38"/>
        <v>182.85000000000002</v>
      </c>
      <c r="J119" s="60">
        <f t="shared" si="40"/>
        <v>168.43188622754494</v>
      </c>
      <c r="K119" s="60">
        <f>F119-237.7</f>
        <v>212.35000000000002</v>
      </c>
      <c r="L119" s="138">
        <f>F119/237.7</f>
        <v>1.893352965923433</v>
      </c>
      <c r="M119" s="40">
        <f>E119-жовтень!E119</f>
        <v>0</v>
      </c>
      <c r="N119" s="40">
        <f>F119-жовтень!F119</f>
        <v>13.050000000000011</v>
      </c>
      <c r="O119" s="53">
        <f>N119-M119</f>
        <v>13.050000000000011</v>
      </c>
      <c r="P119" s="60" t="e">
        <f>N119/M119*100</f>
        <v>#DIV/0!</v>
      </c>
      <c r="Q119" s="60">
        <f>N119-3.5</f>
        <v>9.550000000000011</v>
      </c>
      <c r="R119" s="138">
        <f>N119/3.5</f>
        <v>3.7285714285714318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78923.05</v>
      </c>
      <c r="G120" s="49">
        <f t="shared" si="37"/>
        <v>10210.449999999997</v>
      </c>
      <c r="H120" s="40">
        <f t="shared" si="39"/>
        <v>114.85964728448639</v>
      </c>
      <c r="I120" s="53">
        <f t="shared" si="38"/>
        <v>6947.059999999998</v>
      </c>
      <c r="J120" s="60">
        <f t="shared" si="40"/>
        <v>109.65191308935105</v>
      </c>
      <c r="K120" s="60">
        <f>F120-66794.9</f>
        <v>12128.150000000009</v>
      </c>
      <c r="L120" s="138">
        <f>F120/66794.9</f>
        <v>1.1815729943453768</v>
      </c>
      <c r="M120" s="40">
        <f>E120-жовтень!E120</f>
        <v>8700.000000000007</v>
      </c>
      <c r="N120" s="40">
        <f>F120-жовтень!F120</f>
        <v>11065.770000000004</v>
      </c>
      <c r="O120" s="53">
        <f t="shared" si="41"/>
        <v>2365.769999999997</v>
      </c>
      <c r="P120" s="60">
        <f aca="true" t="shared" si="42" ref="P120:P125">N120/M120*100</f>
        <v>127.19275862068959</v>
      </c>
      <c r="Q120" s="60">
        <f>N120-8604.8</f>
        <v>2460.970000000005</v>
      </c>
      <c r="R120" s="138">
        <f>N120/8604.8</f>
        <v>1.2859996746002238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1754.81</v>
      </c>
      <c r="G121" s="49">
        <f t="shared" si="37"/>
        <v>-1606.38</v>
      </c>
      <c r="H121" s="40">
        <f t="shared" si="39"/>
        <v>52.20799776269713</v>
      </c>
      <c r="I121" s="60">
        <f t="shared" si="38"/>
        <v>-2995.19</v>
      </c>
      <c r="J121" s="60">
        <f t="shared" si="40"/>
        <v>36.94336842105263</v>
      </c>
      <c r="K121" s="60">
        <f>F121-1790.1</f>
        <v>-35.289999999999964</v>
      </c>
      <c r="L121" s="138">
        <f>F121/1790.1</f>
        <v>0.9802860175409195</v>
      </c>
      <c r="M121" s="40">
        <f>E121-жовтень!E121</f>
        <v>161.78999999999996</v>
      </c>
      <c r="N121" s="40">
        <f>F121-жовтень!F121</f>
        <v>0.01999999999998181</v>
      </c>
      <c r="O121" s="53">
        <f t="shared" si="41"/>
        <v>-161.76999999999998</v>
      </c>
      <c r="P121" s="60">
        <f t="shared" si="42"/>
        <v>0.012361703442723167</v>
      </c>
      <c r="Q121" s="60">
        <f>N121-500.5</f>
        <v>-500.48</v>
      </c>
      <c r="R121" s="138">
        <f>N121/500.5</f>
        <v>3.996003996000362E-05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3797.84</v>
      </c>
      <c r="G122" s="49">
        <f t="shared" si="37"/>
        <v>-16511.89</v>
      </c>
      <c r="H122" s="40">
        <f t="shared" si="39"/>
        <v>18.699608512767036</v>
      </c>
      <c r="I122" s="60">
        <f t="shared" si="38"/>
        <v>-19279.29</v>
      </c>
      <c r="J122" s="60">
        <f>F122/D122*100</f>
        <v>16.457159100806727</v>
      </c>
      <c r="K122" s="60">
        <f>F122-23492</f>
        <v>-19694.16</v>
      </c>
      <c r="L122" s="138">
        <f>F122/23492</f>
        <v>0.16166524774391283</v>
      </c>
      <c r="M122" s="40">
        <f>E122-жовтень!E122</f>
        <v>2733.5</v>
      </c>
      <c r="N122" s="40">
        <f>F122-жовтень!F122</f>
        <v>1035.7400000000002</v>
      </c>
      <c r="O122" s="53">
        <f t="shared" si="41"/>
        <v>-1697.7599999999998</v>
      </c>
      <c r="P122" s="60">
        <f t="shared" si="42"/>
        <v>37.8906164258277</v>
      </c>
      <c r="Q122" s="60">
        <f>N122-826.2</f>
        <v>209.5400000000002</v>
      </c>
      <c r="R122" s="138">
        <f>N122/826.2</f>
        <v>1.25361897845558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86216.39</v>
      </c>
      <c r="G124" s="62">
        <f t="shared" si="37"/>
        <v>-8238.029999999999</v>
      </c>
      <c r="H124" s="72">
        <f t="shared" si="39"/>
        <v>91.27830121660797</v>
      </c>
      <c r="I124" s="61">
        <f t="shared" si="38"/>
        <v>-15853.930000000008</v>
      </c>
      <c r="J124" s="61">
        <f>F124/D124*100</f>
        <v>84.46763956456685</v>
      </c>
      <c r="K124" s="61">
        <f>F124-94046.5</f>
        <v>-7830.110000000001</v>
      </c>
      <c r="L124" s="139">
        <f>F124/94046.5</f>
        <v>0.9167421435141127</v>
      </c>
      <c r="M124" s="62">
        <f>M120+M121+M122+M123+M119</f>
        <v>11784.880000000008</v>
      </c>
      <c r="N124" s="62">
        <f>N120+N121+N122+N123+N119</f>
        <v>12271.200000000004</v>
      </c>
      <c r="O124" s="61">
        <f t="shared" si="41"/>
        <v>486.31999999999607</v>
      </c>
      <c r="P124" s="61">
        <f t="shared" si="42"/>
        <v>104.12664363150066</v>
      </c>
      <c r="Q124" s="61">
        <f>N124-9944.1</f>
        <v>2327.100000000004</v>
      </c>
      <c r="R124" s="139">
        <f>N124/9944.1</f>
        <v>1.2340181615229135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8358.69</v>
      </c>
      <c r="G128" s="49">
        <f aca="true" t="shared" si="43" ref="G128:G135">F128-E128</f>
        <v>-340.3099999999995</v>
      </c>
      <c r="H128" s="40">
        <f>F128/E128*100</f>
        <v>96.08794114266009</v>
      </c>
      <c r="I128" s="60">
        <f aca="true" t="shared" si="44" ref="I128:I135">F128-D128</f>
        <v>-341.3099999999995</v>
      </c>
      <c r="J128" s="60">
        <f>F128/D128*100</f>
        <v>96.07689655172415</v>
      </c>
      <c r="K128" s="60">
        <f>F128-10826.4</f>
        <v>-2467.709999999999</v>
      </c>
      <c r="L128" s="138">
        <f>F128/10826.4</f>
        <v>0.7720655065395701</v>
      </c>
      <c r="M128" s="40">
        <f>E128-вересень!E128</f>
        <v>1980.5</v>
      </c>
      <c r="N128" s="40">
        <f>F128-вересень!F128</f>
        <v>989.8100000000004</v>
      </c>
      <c r="O128" s="53">
        <f aca="true" t="shared" si="45" ref="O128:O135">N128-M128</f>
        <v>-990.6899999999996</v>
      </c>
      <c r="P128" s="60">
        <f>N128/M128*100</f>
        <v>49.977783388033345</v>
      </c>
      <c r="Q128" s="60">
        <f>N128-2097.7</f>
        <v>-1107.8899999999994</v>
      </c>
      <c r="R128" s="162">
        <f>N128/2097.7</f>
        <v>0.4718548886876105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8414.54</v>
      </c>
      <c r="G130" s="62">
        <f t="shared" si="43"/>
        <v>-326.8199999999997</v>
      </c>
      <c r="H130" s="72">
        <f>F130/E130*100</f>
        <v>96.26122250999845</v>
      </c>
      <c r="I130" s="61">
        <f t="shared" si="44"/>
        <v>-336.15999999999985</v>
      </c>
      <c r="J130" s="61">
        <f>F130/D130*100</f>
        <v>96.1584787502714</v>
      </c>
      <c r="K130" s="61">
        <f>F130-10959.2</f>
        <v>-2544.66</v>
      </c>
      <c r="L130" s="139">
        <f>G130/10959.2</f>
        <v>-0.02982151981896486</v>
      </c>
      <c r="M130" s="62">
        <f>M125+M128+M129+M127</f>
        <v>1988.5</v>
      </c>
      <c r="N130" s="62">
        <f>N125+N128+N129+N127</f>
        <v>1000.9300000000004</v>
      </c>
      <c r="O130" s="61">
        <f t="shared" si="45"/>
        <v>-987.5699999999996</v>
      </c>
      <c r="P130" s="61">
        <f>N130/M130*100</f>
        <v>50.33593160673877</v>
      </c>
      <c r="Q130" s="61">
        <f>N130-2098.3</f>
        <v>-1097.37</v>
      </c>
      <c r="R130" s="137">
        <f>N130/2098.3</f>
        <v>0.4770194919696899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96398.89000000001</v>
      </c>
      <c r="G134" s="50">
        <f t="shared" si="43"/>
        <v>-10400.039999999979</v>
      </c>
      <c r="H134" s="51">
        <f>F134/E134*100</f>
        <v>90.26203726947453</v>
      </c>
      <c r="I134" s="36">
        <f t="shared" si="44"/>
        <v>-18391.729999999996</v>
      </c>
      <c r="J134" s="36">
        <f>F134/D134*100</f>
        <v>83.97802015530537</v>
      </c>
      <c r="K134" s="36">
        <f>F134-108511.5</f>
        <v>-12112.609999999986</v>
      </c>
      <c r="L134" s="136">
        <f>F134/108511.5</f>
        <v>0.8883748727093443</v>
      </c>
      <c r="M134" s="31">
        <f>M117+M131+M124+M130+M133+M132</f>
        <v>14123.580000000009</v>
      </c>
      <c r="N134" s="31">
        <f>N117+N131+N124+N130+N133+N132</f>
        <v>13426.470000000005</v>
      </c>
      <c r="O134" s="36">
        <f t="shared" si="45"/>
        <v>-697.1100000000042</v>
      </c>
      <c r="P134" s="36">
        <f>N134/M134*100</f>
        <v>95.06421176500574</v>
      </c>
      <c r="Q134" s="36">
        <f>N134-12149.2</f>
        <v>1277.270000000004</v>
      </c>
      <c r="R134" s="136">
        <f>N134/12149.2</f>
        <v>1.1051320251539198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524255.66</v>
      </c>
      <c r="G135" s="50">
        <f t="shared" si="43"/>
        <v>-29108.49999999994</v>
      </c>
      <c r="H135" s="51">
        <f>F135/E135*100</f>
        <v>94.73972076543592</v>
      </c>
      <c r="I135" s="36">
        <f t="shared" si="44"/>
        <v>-97414.56</v>
      </c>
      <c r="J135" s="36">
        <f>F135/D135*100</f>
        <v>84.3301871529249</v>
      </c>
      <c r="K135" s="36">
        <f>F135-547461.7</f>
        <v>-23206.03999999998</v>
      </c>
      <c r="L135" s="136">
        <f>F135/547461.7</f>
        <v>0.9576115735584791</v>
      </c>
      <c r="M135" s="22">
        <f>M107+M134</f>
        <v>55961.47000000003</v>
      </c>
      <c r="N135" s="22">
        <f>N107+N134</f>
        <v>41713.00000000001</v>
      </c>
      <c r="O135" s="36">
        <f t="shared" si="45"/>
        <v>-14248.470000000023</v>
      </c>
      <c r="P135" s="36">
        <f>N135/M135*100</f>
        <v>74.53878534641778</v>
      </c>
      <c r="Q135" s="36">
        <f>N135-53205.8</f>
        <v>-11492.799999999996</v>
      </c>
      <c r="R135" s="136">
        <f>N135/53205.8</f>
        <v>0.7839934743956487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5</v>
      </c>
      <c r="D137" s="4" t="s">
        <v>118</v>
      </c>
    </row>
    <row r="138" spans="2:17" ht="31.5">
      <c r="B138" s="78" t="s">
        <v>154</v>
      </c>
      <c r="C138" s="39">
        <f>IF(O107&lt;0,ABS(O107/C137),0)</f>
        <v>2710.2720000000036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41964</v>
      </c>
      <c r="D139" s="39">
        <v>3778.8</v>
      </c>
      <c r="N139" s="211"/>
      <c r="O139" s="211"/>
    </row>
    <row r="140" spans="3:15" ht="15.75">
      <c r="C140" s="120">
        <v>41963</v>
      </c>
      <c r="D140" s="39">
        <v>2802.4</v>
      </c>
      <c r="F140" s="4" t="s">
        <v>166</v>
      </c>
      <c r="G140" s="179" t="s">
        <v>151</v>
      </c>
      <c r="H140" s="179"/>
      <c r="I140" s="115"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41962</v>
      </c>
      <c r="D141" s="39">
        <v>1179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124384.22307</v>
      </c>
      <c r="E143" s="80"/>
      <c r="F143" s="100" t="s">
        <v>147</v>
      </c>
      <c r="G143" s="179" t="s">
        <v>149</v>
      </c>
      <c r="H143" s="179"/>
      <c r="I143" s="116">
        <v>115474.49085999999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10509.52603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3" t="s">
        <v>193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187</v>
      </c>
      <c r="E3" s="46"/>
      <c r="F3" s="222" t="s">
        <v>107</v>
      </c>
      <c r="G3" s="223"/>
      <c r="H3" s="223"/>
      <c r="I3" s="223"/>
      <c r="J3" s="224"/>
      <c r="K3" s="123"/>
      <c r="L3" s="123"/>
      <c r="M3" s="225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191</v>
      </c>
      <c r="F4" s="228" t="s">
        <v>116</v>
      </c>
      <c r="G4" s="230" t="s">
        <v>167</v>
      </c>
      <c r="H4" s="200" t="s">
        <v>168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25"/>
      <c r="N4" s="181" t="s">
        <v>194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184</v>
      </c>
      <c r="L5" s="209"/>
      <c r="M5" s="225"/>
      <c r="N5" s="182"/>
      <c r="O5" s="233"/>
      <c r="P5" s="220"/>
      <c r="Q5" s="208" t="s">
        <v>199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11"/>
      <c r="O138" s="211"/>
    </row>
    <row r="139" spans="3:15" ht="15.75">
      <c r="C139" s="120">
        <v>41697</v>
      </c>
      <c r="D139" s="39">
        <v>2276.8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41696</v>
      </c>
      <c r="D140" s="39">
        <v>3746.1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f>'[1]залишки  (2)'!$G$8/1000</f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121970.53</v>
      </c>
      <c r="E142" s="80"/>
      <c r="F142" s="100" t="s">
        <v>147</v>
      </c>
      <c r="G142" s="179" t="s">
        <v>149</v>
      </c>
      <c r="H142" s="179"/>
      <c r="I142" s="116">
        <v>108145.31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3" t="s">
        <v>183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221" t="s">
        <v>192</v>
      </c>
      <c r="E3" s="46"/>
      <c r="F3" s="222" t="s">
        <v>107</v>
      </c>
      <c r="G3" s="223"/>
      <c r="H3" s="223"/>
      <c r="I3" s="223"/>
      <c r="J3" s="224"/>
      <c r="K3" s="123"/>
      <c r="L3" s="123"/>
      <c r="M3" s="204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5"/>
      <c r="B4" s="187"/>
      <c r="C4" s="188"/>
      <c r="D4" s="221"/>
      <c r="E4" s="226" t="s">
        <v>153</v>
      </c>
      <c r="F4" s="228" t="s">
        <v>116</v>
      </c>
      <c r="G4" s="230" t="s">
        <v>175</v>
      </c>
      <c r="H4" s="200" t="s">
        <v>176</v>
      </c>
      <c r="I4" s="232" t="s">
        <v>188</v>
      </c>
      <c r="J4" s="234" t="s">
        <v>189</v>
      </c>
      <c r="K4" s="125" t="s">
        <v>174</v>
      </c>
      <c r="L4" s="130" t="s">
        <v>173</v>
      </c>
      <c r="M4" s="236"/>
      <c r="N4" s="181" t="s">
        <v>186</v>
      </c>
      <c r="O4" s="232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6"/>
      <c r="B5" s="187"/>
      <c r="C5" s="188"/>
      <c r="D5" s="221"/>
      <c r="E5" s="227"/>
      <c r="F5" s="229"/>
      <c r="G5" s="231"/>
      <c r="H5" s="201"/>
      <c r="I5" s="233"/>
      <c r="J5" s="235"/>
      <c r="K5" s="208" t="s">
        <v>177</v>
      </c>
      <c r="L5" s="209"/>
      <c r="M5" s="205"/>
      <c r="N5" s="182"/>
      <c r="O5" s="233"/>
      <c r="P5" s="220"/>
      <c r="Q5" s="208" t="s">
        <v>179</v>
      </c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11"/>
      <c r="O138" s="211"/>
    </row>
    <row r="139" spans="3:15" ht="15.75">
      <c r="C139" s="120">
        <v>41669</v>
      </c>
      <c r="D139" s="39">
        <v>4752.2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41668</v>
      </c>
      <c r="D140" s="39">
        <v>1984.7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111410.62</v>
      </c>
      <c r="E142" s="80"/>
      <c r="F142" s="100" t="s">
        <v>147</v>
      </c>
      <c r="G142" s="179" t="s">
        <v>149</v>
      </c>
      <c r="H142" s="179"/>
      <c r="I142" s="116">
        <v>97585.4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0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3" sqref="F10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282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279</v>
      </c>
      <c r="H4" s="200" t="s">
        <v>280</v>
      </c>
      <c r="I4" s="202" t="s">
        <v>188</v>
      </c>
      <c r="J4" s="204" t="s">
        <v>189</v>
      </c>
      <c r="K4" s="206" t="s">
        <v>285</v>
      </c>
      <c r="L4" s="207"/>
      <c r="M4" s="194"/>
      <c r="N4" s="181" t="s">
        <v>289</v>
      </c>
      <c r="O4" s="202" t="s">
        <v>136</v>
      </c>
      <c r="P4" s="202" t="s">
        <v>135</v>
      </c>
      <c r="Q4" s="206" t="s">
        <v>287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278</v>
      </c>
      <c r="F5" s="197"/>
      <c r="G5" s="199"/>
      <c r="H5" s="201"/>
      <c r="I5" s="203"/>
      <c r="J5" s="205"/>
      <c r="K5" s="208"/>
      <c r="L5" s="209"/>
      <c r="M5" s="151" t="s">
        <v>281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211"/>
      <c r="O139" s="211"/>
    </row>
    <row r="140" spans="3:15" ht="15.75">
      <c r="C140" s="120">
        <v>41942</v>
      </c>
      <c r="D140" s="39">
        <v>4208.5</v>
      </c>
      <c r="F140" s="4" t="s">
        <v>166</v>
      </c>
      <c r="G140" s="179" t="s">
        <v>151</v>
      </c>
      <c r="H140" s="179"/>
      <c r="I140" s="115">
        <v>9020.6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41941</v>
      </c>
      <c r="D141" s="39">
        <v>2987.3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116647.51</v>
      </c>
      <c r="E143" s="80"/>
      <c r="F143" s="100" t="s">
        <v>147</v>
      </c>
      <c r="G143" s="179" t="s">
        <v>149</v>
      </c>
      <c r="H143" s="179"/>
      <c r="I143" s="116">
        <v>107626.91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16930.7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272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269</v>
      </c>
      <c r="H4" s="200" t="s">
        <v>270</v>
      </c>
      <c r="I4" s="202" t="s">
        <v>188</v>
      </c>
      <c r="J4" s="204" t="s">
        <v>189</v>
      </c>
      <c r="K4" s="206" t="s">
        <v>274</v>
      </c>
      <c r="L4" s="207"/>
      <c r="M4" s="194"/>
      <c r="N4" s="181" t="s">
        <v>277</v>
      </c>
      <c r="O4" s="202" t="s">
        <v>136</v>
      </c>
      <c r="P4" s="202" t="s">
        <v>135</v>
      </c>
      <c r="Q4" s="206" t="s">
        <v>275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268</v>
      </c>
      <c r="F5" s="197"/>
      <c r="G5" s="199"/>
      <c r="H5" s="201"/>
      <c r="I5" s="203"/>
      <c r="J5" s="205"/>
      <c r="K5" s="208"/>
      <c r="L5" s="209"/>
      <c r="M5" s="151" t="s">
        <v>271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211"/>
      <c r="O139" s="211"/>
    </row>
    <row r="140" spans="3:15" ht="15.75">
      <c r="C140" s="120">
        <v>41911</v>
      </c>
      <c r="D140" s="39">
        <v>4937.4</v>
      </c>
      <c r="F140" s="4" t="s">
        <v>166</v>
      </c>
      <c r="G140" s="179" t="s">
        <v>151</v>
      </c>
      <c r="H140" s="179"/>
      <c r="I140" s="115">
        <f>9020596.53/1000</f>
        <v>9020.596529999999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41908</v>
      </c>
      <c r="D141" s="39">
        <v>1468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121201109.21/1000</f>
        <v>121201.10921</v>
      </c>
      <c r="E143" s="80"/>
      <c r="F143" s="100" t="s">
        <v>147</v>
      </c>
      <c r="G143" s="179" t="s">
        <v>149</v>
      </c>
      <c r="H143" s="179"/>
      <c r="I143" s="116">
        <f>112180512.68/1000</f>
        <v>112180.51268000001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17426016.57/1000</f>
        <v>17426.01657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261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259</v>
      </c>
      <c r="H4" s="200" t="s">
        <v>260</v>
      </c>
      <c r="I4" s="202" t="s">
        <v>188</v>
      </c>
      <c r="J4" s="204" t="s">
        <v>189</v>
      </c>
      <c r="K4" s="206" t="s">
        <v>264</v>
      </c>
      <c r="L4" s="207"/>
      <c r="M4" s="194"/>
      <c r="N4" s="181" t="s">
        <v>267</v>
      </c>
      <c r="O4" s="202" t="s">
        <v>136</v>
      </c>
      <c r="P4" s="202" t="s">
        <v>135</v>
      </c>
      <c r="Q4" s="206" t="s">
        <v>265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258</v>
      </c>
      <c r="F5" s="197"/>
      <c r="G5" s="199"/>
      <c r="H5" s="201"/>
      <c r="I5" s="203"/>
      <c r="J5" s="205"/>
      <c r="K5" s="208"/>
      <c r="L5" s="209"/>
      <c r="M5" s="151" t="s">
        <v>262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11"/>
      <c r="O139" s="211"/>
    </row>
    <row r="140" spans="3:15" ht="15.75">
      <c r="C140" s="120">
        <v>41879</v>
      </c>
      <c r="D140" s="39">
        <v>3653.6</v>
      </c>
      <c r="F140" s="4" t="s">
        <v>166</v>
      </c>
      <c r="G140" s="179" t="s">
        <v>151</v>
      </c>
      <c r="H140" s="179"/>
      <c r="I140" s="115">
        <v>13829.857960000001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41878</v>
      </c>
      <c r="D141" s="39">
        <v>1194.3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127799.14</v>
      </c>
      <c r="E143" s="80"/>
      <c r="F143" s="100" t="s">
        <v>147</v>
      </c>
      <c r="G143" s="179" t="s">
        <v>149</v>
      </c>
      <c r="H143" s="179"/>
      <c r="I143" s="116">
        <v>113969.28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18493.9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252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249</v>
      </c>
      <c r="H4" s="200" t="s">
        <v>250</v>
      </c>
      <c r="I4" s="202" t="s">
        <v>188</v>
      </c>
      <c r="J4" s="204" t="s">
        <v>189</v>
      </c>
      <c r="K4" s="206" t="s">
        <v>254</v>
      </c>
      <c r="L4" s="207"/>
      <c r="M4" s="194"/>
      <c r="N4" s="181" t="s">
        <v>257</v>
      </c>
      <c r="O4" s="202" t="s">
        <v>136</v>
      </c>
      <c r="P4" s="202" t="s">
        <v>135</v>
      </c>
      <c r="Q4" s="206" t="s">
        <v>255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248</v>
      </c>
      <c r="F5" s="197"/>
      <c r="G5" s="199"/>
      <c r="H5" s="201"/>
      <c r="I5" s="203"/>
      <c r="J5" s="205"/>
      <c r="K5" s="208"/>
      <c r="L5" s="209"/>
      <c r="M5" s="151" t="s">
        <v>251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11"/>
      <c r="O139" s="211"/>
    </row>
    <row r="140" spans="3:15" ht="15.75">
      <c r="C140" s="120">
        <v>41850</v>
      </c>
      <c r="D140" s="39">
        <v>4320</v>
      </c>
      <c r="F140" s="4" t="s">
        <v>166</v>
      </c>
      <c r="G140" s="179" t="s">
        <v>151</v>
      </c>
      <c r="H140" s="179"/>
      <c r="I140" s="115">
        <f>13825221.96/1000</f>
        <v>13825.22196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41849</v>
      </c>
      <c r="D141" s="39">
        <v>4403.7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f>120856761.09/1000</f>
        <v>120856.76109</v>
      </c>
      <c r="E143" s="80"/>
      <c r="F143" s="100" t="s">
        <v>147</v>
      </c>
      <c r="G143" s="179" t="s">
        <v>149</v>
      </c>
      <c r="H143" s="179"/>
      <c r="I143" s="116">
        <f>107031539.13/1000</f>
        <v>107031.53912999999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f>26199804.73/1000</f>
        <v>26199.80473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243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238</v>
      </c>
      <c r="H4" s="200" t="s">
        <v>239</v>
      </c>
      <c r="I4" s="202" t="s">
        <v>188</v>
      </c>
      <c r="J4" s="204" t="s">
        <v>189</v>
      </c>
      <c r="K4" s="206" t="s">
        <v>240</v>
      </c>
      <c r="L4" s="207"/>
      <c r="M4" s="194"/>
      <c r="N4" s="181" t="s">
        <v>247</v>
      </c>
      <c r="O4" s="202" t="s">
        <v>136</v>
      </c>
      <c r="P4" s="202" t="s">
        <v>135</v>
      </c>
      <c r="Q4" s="206" t="s">
        <v>242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237</v>
      </c>
      <c r="F5" s="197"/>
      <c r="G5" s="199"/>
      <c r="H5" s="201"/>
      <c r="I5" s="203"/>
      <c r="J5" s="205"/>
      <c r="K5" s="208"/>
      <c r="L5" s="209"/>
      <c r="M5" s="151" t="s">
        <v>241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10"/>
      <c r="H138" s="210"/>
      <c r="I138" s="210"/>
      <c r="J138" s="210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11"/>
      <c r="O139" s="211"/>
    </row>
    <row r="140" spans="3:15" ht="15.75">
      <c r="C140" s="120">
        <v>41816</v>
      </c>
      <c r="D140" s="39">
        <v>4277.2</v>
      </c>
      <c r="F140" s="4" t="s">
        <v>166</v>
      </c>
      <c r="G140" s="179" t="s">
        <v>151</v>
      </c>
      <c r="H140" s="179"/>
      <c r="I140" s="115">
        <f>'[1]залишки  (2)'!$G$9/1000</f>
        <v>8909.73221</v>
      </c>
      <c r="J140" s="180" t="s">
        <v>161</v>
      </c>
      <c r="K140" s="180"/>
      <c r="L140" s="180"/>
      <c r="M140" s="180"/>
      <c r="N140" s="211"/>
      <c r="O140" s="211"/>
    </row>
    <row r="141" spans="3:15" ht="15.75">
      <c r="C141" s="120">
        <v>41815</v>
      </c>
      <c r="D141" s="39">
        <v>1877.7</v>
      </c>
      <c r="G141" s="212" t="s">
        <v>155</v>
      </c>
      <c r="H141" s="212"/>
      <c r="I141" s="112">
        <v>0</v>
      </c>
      <c r="J141" s="213" t="s">
        <v>162</v>
      </c>
      <c r="K141" s="213"/>
      <c r="L141" s="213"/>
      <c r="M141" s="213"/>
      <c r="N141" s="211"/>
      <c r="O141" s="211"/>
    </row>
    <row r="142" spans="7:13" ht="15.75" customHeight="1">
      <c r="G142" s="179" t="s">
        <v>148</v>
      </c>
      <c r="H142" s="179"/>
      <c r="I142" s="112">
        <f>'[1]залишки  (2)'!$G$8/1000</f>
        <v>0</v>
      </c>
      <c r="J142" s="180" t="s">
        <v>163</v>
      </c>
      <c r="K142" s="180"/>
      <c r="L142" s="180"/>
      <c r="M142" s="180"/>
    </row>
    <row r="143" spans="2:13" ht="18.75" customHeight="1">
      <c r="B143" s="214" t="s">
        <v>160</v>
      </c>
      <c r="C143" s="215"/>
      <c r="D143" s="117">
        <v>117976.29</v>
      </c>
      <c r="E143" s="80"/>
      <c r="F143" s="100" t="s">
        <v>147</v>
      </c>
      <c r="G143" s="179" t="s">
        <v>149</v>
      </c>
      <c r="H143" s="179"/>
      <c r="I143" s="116">
        <v>104151.07</v>
      </c>
      <c r="J143" s="180" t="s">
        <v>164</v>
      </c>
      <c r="K143" s="180"/>
      <c r="L143" s="180"/>
      <c r="M143" s="180"/>
    </row>
    <row r="144" spans="7:12" ht="9.75" customHeight="1">
      <c r="G144" s="216"/>
      <c r="H144" s="216"/>
      <c r="I144" s="98"/>
      <c r="J144" s="99"/>
      <c r="K144" s="99"/>
      <c r="L144" s="99"/>
    </row>
    <row r="145" spans="2:12" ht="22.5" customHeight="1">
      <c r="B145" s="217" t="s">
        <v>169</v>
      </c>
      <c r="C145" s="218"/>
      <c r="D145" s="119">
        <v>41386</v>
      </c>
      <c r="E145" s="77" t="s">
        <v>104</v>
      </c>
      <c r="G145" s="216"/>
      <c r="H145" s="216"/>
      <c r="I145" s="98"/>
      <c r="J145" s="99"/>
      <c r="K145" s="99"/>
      <c r="L145" s="99"/>
    </row>
    <row r="146" spans="4:15" ht="15.75">
      <c r="D146" s="114"/>
      <c r="N146" s="216"/>
      <c r="O146" s="216"/>
    </row>
    <row r="147" spans="4:15" ht="15.75">
      <c r="D147" s="113"/>
      <c r="I147" s="39"/>
      <c r="N147" s="219"/>
      <c r="O147" s="219"/>
    </row>
    <row r="148" spans="14:15" ht="15.75">
      <c r="N148" s="216"/>
      <c r="O148" s="216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233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229</v>
      </c>
      <c r="H4" s="200" t="s">
        <v>230</v>
      </c>
      <c r="I4" s="202" t="s">
        <v>188</v>
      </c>
      <c r="J4" s="204" t="s">
        <v>189</v>
      </c>
      <c r="K4" s="206" t="s">
        <v>231</v>
      </c>
      <c r="L4" s="207"/>
      <c r="M4" s="194"/>
      <c r="N4" s="181" t="s">
        <v>236</v>
      </c>
      <c r="O4" s="202" t="s">
        <v>136</v>
      </c>
      <c r="P4" s="202" t="s">
        <v>135</v>
      </c>
      <c r="Q4" s="206" t="s">
        <v>234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228</v>
      </c>
      <c r="F5" s="197"/>
      <c r="G5" s="199"/>
      <c r="H5" s="201"/>
      <c r="I5" s="203"/>
      <c r="J5" s="205"/>
      <c r="K5" s="208"/>
      <c r="L5" s="209"/>
      <c r="M5" s="151" t="s">
        <v>232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11"/>
      <c r="O138" s="211"/>
    </row>
    <row r="139" spans="3:15" ht="15.75">
      <c r="C139" s="120">
        <v>41788</v>
      </c>
      <c r="D139" s="39">
        <v>5993.3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41787</v>
      </c>
      <c r="D140" s="39">
        <v>2595.2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118982.48</v>
      </c>
      <c r="E142" s="80"/>
      <c r="F142" s="100" t="s">
        <v>147</v>
      </c>
      <c r="G142" s="179" t="s">
        <v>149</v>
      </c>
      <c r="H142" s="179"/>
      <c r="I142" s="116">
        <v>105157.26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27359.4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224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225</v>
      </c>
      <c r="N3" s="195" t="s">
        <v>221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217</v>
      </c>
      <c r="H4" s="200" t="s">
        <v>218</v>
      </c>
      <c r="I4" s="202" t="s">
        <v>188</v>
      </c>
      <c r="J4" s="204" t="s">
        <v>189</v>
      </c>
      <c r="K4" s="206" t="s">
        <v>219</v>
      </c>
      <c r="L4" s="207"/>
      <c r="M4" s="194"/>
      <c r="N4" s="181" t="s">
        <v>227</v>
      </c>
      <c r="O4" s="202" t="s">
        <v>136</v>
      </c>
      <c r="P4" s="202" t="s">
        <v>135</v>
      </c>
      <c r="Q4" s="206" t="s">
        <v>222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216</v>
      </c>
      <c r="F5" s="197"/>
      <c r="G5" s="199"/>
      <c r="H5" s="201"/>
      <c r="I5" s="203"/>
      <c r="J5" s="205"/>
      <c r="K5" s="208"/>
      <c r="L5" s="209"/>
      <c r="M5" s="151" t="s">
        <v>220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11"/>
      <c r="O138" s="211"/>
    </row>
    <row r="139" spans="3:15" ht="15.75">
      <c r="C139" s="120">
        <v>41758</v>
      </c>
      <c r="D139" s="39">
        <v>5440.9</v>
      </c>
      <c r="F139" s="4" t="s">
        <v>166</v>
      </c>
      <c r="G139" s="179" t="s">
        <v>151</v>
      </c>
      <c r="H139" s="179"/>
      <c r="I139" s="115">
        <v>13825.22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41757</v>
      </c>
      <c r="D140" s="39">
        <v>1923.2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123251.48</v>
      </c>
      <c r="E142" s="80"/>
      <c r="F142" s="100" t="s">
        <v>147</v>
      </c>
      <c r="G142" s="179" t="s">
        <v>149</v>
      </c>
      <c r="H142" s="179"/>
      <c r="I142" s="116">
        <v>109426.25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f>'[1]надх'!$B$52/1000</f>
        <v>10509.52603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3" t="s">
        <v>212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26"/>
      <c r="R1" s="127"/>
    </row>
    <row r="2" spans="2:18" s="1" customFormat="1" ht="15.75" customHeight="1">
      <c r="B2" s="184"/>
      <c r="C2" s="184"/>
      <c r="D2" s="18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5"/>
      <c r="B3" s="187"/>
      <c r="C3" s="188" t="s">
        <v>0</v>
      </c>
      <c r="D3" s="189" t="s">
        <v>208</v>
      </c>
      <c r="E3" s="189"/>
      <c r="F3" s="190" t="s">
        <v>107</v>
      </c>
      <c r="G3" s="191"/>
      <c r="H3" s="191"/>
      <c r="I3" s="191"/>
      <c r="J3" s="191"/>
      <c r="K3" s="191"/>
      <c r="L3" s="192"/>
      <c r="M3" s="193" t="s">
        <v>210</v>
      </c>
      <c r="N3" s="195" t="s">
        <v>198</v>
      </c>
      <c r="O3" s="195"/>
      <c r="P3" s="195"/>
      <c r="Q3" s="195"/>
      <c r="R3" s="195"/>
    </row>
    <row r="4" spans="1:18" ht="22.5" customHeight="1">
      <c r="A4" s="185"/>
      <c r="B4" s="187"/>
      <c r="C4" s="188"/>
      <c r="D4" s="189"/>
      <c r="E4" s="189"/>
      <c r="F4" s="196" t="s">
        <v>116</v>
      </c>
      <c r="G4" s="198" t="s">
        <v>207</v>
      </c>
      <c r="H4" s="200" t="s">
        <v>195</v>
      </c>
      <c r="I4" s="202" t="s">
        <v>188</v>
      </c>
      <c r="J4" s="204" t="s">
        <v>189</v>
      </c>
      <c r="K4" s="206" t="s">
        <v>196</v>
      </c>
      <c r="L4" s="207"/>
      <c r="M4" s="194"/>
      <c r="N4" s="181" t="s">
        <v>213</v>
      </c>
      <c r="O4" s="202" t="s">
        <v>136</v>
      </c>
      <c r="P4" s="202" t="s">
        <v>135</v>
      </c>
      <c r="Q4" s="206" t="s">
        <v>197</v>
      </c>
      <c r="R4" s="207"/>
    </row>
    <row r="5" spans="1:18" ht="82.5" customHeight="1">
      <c r="A5" s="186"/>
      <c r="B5" s="187"/>
      <c r="C5" s="188"/>
      <c r="D5" s="150" t="s">
        <v>209</v>
      </c>
      <c r="E5" s="158" t="s">
        <v>214</v>
      </c>
      <c r="F5" s="197"/>
      <c r="G5" s="199"/>
      <c r="H5" s="201"/>
      <c r="I5" s="203"/>
      <c r="J5" s="205"/>
      <c r="K5" s="208"/>
      <c r="L5" s="209"/>
      <c r="M5" s="151" t="s">
        <v>211</v>
      </c>
      <c r="N5" s="182"/>
      <c r="O5" s="203"/>
      <c r="P5" s="203"/>
      <c r="Q5" s="208"/>
      <c r="R5" s="20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10"/>
      <c r="H137" s="210"/>
      <c r="I137" s="210"/>
      <c r="J137" s="21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11"/>
      <c r="O138" s="211"/>
    </row>
    <row r="139" spans="3:15" ht="15.75">
      <c r="C139" s="120">
        <v>41726</v>
      </c>
      <c r="D139" s="39">
        <v>4682.6</v>
      </c>
      <c r="F139" s="4" t="s">
        <v>166</v>
      </c>
      <c r="G139" s="179" t="s">
        <v>151</v>
      </c>
      <c r="H139" s="179"/>
      <c r="I139" s="115">
        <v>13825.22196</v>
      </c>
      <c r="J139" s="180" t="s">
        <v>161</v>
      </c>
      <c r="K139" s="180"/>
      <c r="L139" s="180"/>
      <c r="M139" s="180"/>
      <c r="N139" s="211"/>
      <c r="O139" s="211"/>
    </row>
    <row r="140" spans="3:15" ht="15.75">
      <c r="C140" s="120">
        <v>41725</v>
      </c>
      <c r="D140" s="39">
        <v>3360.7</v>
      </c>
      <c r="G140" s="212" t="s">
        <v>155</v>
      </c>
      <c r="H140" s="212"/>
      <c r="I140" s="112">
        <v>0</v>
      </c>
      <c r="J140" s="213" t="s">
        <v>162</v>
      </c>
      <c r="K140" s="213"/>
      <c r="L140" s="213"/>
      <c r="M140" s="213"/>
      <c r="N140" s="211"/>
      <c r="O140" s="211"/>
    </row>
    <row r="141" spans="7:13" ht="15.75" customHeight="1">
      <c r="G141" s="179" t="s">
        <v>148</v>
      </c>
      <c r="H141" s="179"/>
      <c r="I141" s="112">
        <v>0</v>
      </c>
      <c r="J141" s="180" t="s">
        <v>163</v>
      </c>
      <c r="K141" s="180"/>
      <c r="L141" s="180"/>
      <c r="M141" s="180"/>
    </row>
    <row r="142" spans="2:13" ht="18.75" customHeight="1">
      <c r="B142" s="214" t="s">
        <v>160</v>
      </c>
      <c r="C142" s="215"/>
      <c r="D142" s="117">
        <v>114985.02570999999</v>
      </c>
      <c r="E142" s="80"/>
      <c r="F142" s="100" t="s">
        <v>147</v>
      </c>
      <c r="G142" s="179" t="s">
        <v>149</v>
      </c>
      <c r="H142" s="179"/>
      <c r="I142" s="116">
        <v>101159.80375</v>
      </c>
      <c r="J142" s="180" t="s">
        <v>164</v>
      </c>
      <c r="K142" s="180"/>
      <c r="L142" s="180"/>
      <c r="M142" s="180"/>
    </row>
    <row r="143" spans="7:12" ht="9.75" customHeight="1">
      <c r="G143" s="216"/>
      <c r="H143" s="216"/>
      <c r="I143" s="98"/>
      <c r="J143" s="99"/>
      <c r="K143" s="99"/>
      <c r="L143" s="99"/>
    </row>
    <row r="144" spans="2:12" ht="22.5" customHeight="1">
      <c r="B144" s="217" t="s">
        <v>169</v>
      </c>
      <c r="C144" s="218"/>
      <c r="D144" s="119">
        <v>3918.1</v>
      </c>
      <c r="E144" s="77" t="s">
        <v>104</v>
      </c>
      <c r="G144" s="216"/>
      <c r="H144" s="216"/>
      <c r="I144" s="98"/>
      <c r="J144" s="99"/>
      <c r="K144" s="99"/>
      <c r="L144" s="99"/>
    </row>
    <row r="145" spans="4:15" ht="15.75">
      <c r="D145" s="114"/>
      <c r="N145" s="216"/>
      <c r="O145" s="216"/>
    </row>
    <row r="146" spans="4:15" ht="15.75">
      <c r="D146" s="113"/>
      <c r="I146" s="39"/>
      <c r="N146" s="219"/>
      <c r="O146" s="219"/>
    </row>
    <row r="147" spans="14:15" ht="15.75">
      <c r="N147" s="216"/>
      <c r="O147" s="216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2014-11-21T10:59:38Z</cp:lastPrinted>
  <dcterms:created xsi:type="dcterms:W3CDTF">2003-07-28T11:27:56Z</dcterms:created>
  <dcterms:modified xsi:type="dcterms:W3CDTF">2014-11-24T08:29:22Z</dcterms:modified>
  <cp:category/>
  <cp:version/>
  <cp:contentType/>
  <cp:contentStatus/>
</cp:coreProperties>
</file>